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US units" sheetId="2" state="visible" r:id="rId4"/>
    <sheet name="Solve for" sheetId="3" state="visible" r:id="rId5"/>
    <sheet name="Pipe run" sheetId="4" state="visible" r:id="rId6"/>
    <sheet name="C values" sheetId="5" state="visible" r:id="rId7"/>
    <sheet name="HW vs Darc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<sst xmlns="http://schemas.openxmlformats.org/spreadsheetml/2006/main" count="183" uniqueCount="121">
  <si>
    <t xml:space="preserve">Hazen-Williams head loss (SI)</t>
  </si>
  <si>
    <t xml:space="preserve">Inputs</t>
  </si>
  <si>
    <t xml:space="preserve">Flow</t>
  </si>
  <si>
    <t xml:space="preserve">L/s</t>
  </si>
  <si>
    <t xml:space="preserve">Internal diameter</t>
  </si>
  <si>
    <t xml:space="preserve">mm</t>
  </si>
  <si>
    <t xml:space="preserve">Pipe length</t>
  </si>
  <si>
    <t xml:space="preserve">m</t>
  </si>
  <si>
    <t xml:space="preserve">Material</t>
  </si>
  <si>
    <t xml:space="preserve">Ductile iron, cement-lined</t>
  </si>
  <si>
    <t xml:space="preserve">pick from the list</t>
  </si>
  <si>
    <t xml:space="preserve">C from table</t>
  </si>
  <si>
    <t xml:space="preserve">C override (optional)</t>
  </si>
  <si>
    <t xml:space="preserve">leave blank to use the table</t>
  </si>
  <si>
    <t xml:space="preserve">C used</t>
  </si>
  <si>
    <t xml:space="preserve">Results</t>
  </si>
  <si>
    <t xml:space="preserve">Flow Q</t>
  </si>
  <si>
    <t xml:space="preserve">m³/s</t>
  </si>
  <si>
    <t xml:space="preserve">Diameter d</t>
  </si>
  <si>
    <t xml:space="preserve">Head loss hf</t>
  </si>
  <si>
    <t xml:space="preserve">m of water</t>
  </si>
  <si>
    <t xml:space="preserve">Head loss per km</t>
  </si>
  <si>
    <t xml:space="preserve">m/km</t>
  </si>
  <si>
    <t xml:space="preserve">Pressure loss</t>
  </si>
  <si>
    <t xml:space="preserve">kPa</t>
  </si>
  <si>
    <t xml:space="preserve">psi</t>
  </si>
  <si>
    <t xml:space="preserve">Velocity</t>
  </si>
  <si>
    <t xml:space="preserve">m/s</t>
  </si>
  <si>
    <t xml:space="preserve">Check</t>
  </si>
  <si>
    <t xml:space="preserve">Same pipe, other C values</t>
  </si>
  <si>
    <t xml:space="preserve">Head loss at C = 150</t>
  </si>
  <si>
    <t xml:space="preserve">Head loss at C = 130</t>
  </si>
  <si>
    <t xml:space="preserve">Head loss at C = 110</t>
  </si>
  <si>
    <t xml:space="preserve">Head loss at C = 100</t>
  </si>
  <si>
    <t xml:space="preserve">Same pipe, other published constants</t>
  </si>
  <si>
    <t xml:space="preserve">10.67, d^4.87</t>
  </si>
  <si>
    <t xml:space="preserve">10.667, d^4.871 (EPANET)</t>
  </si>
  <si>
    <t xml:space="preserve">10.67, d^4.8704 (B14)</t>
  </si>
  <si>
    <t xml:space="preserve">Hazen-Williams in US units (NFPA 13 form)</t>
  </si>
  <si>
    <t xml:space="preserve">gpm</t>
  </si>
  <si>
    <t xml:space="preserve">in (3/4" type L copper)</t>
  </si>
  <si>
    <t xml:space="preserve">ft</t>
  </si>
  <si>
    <t xml:space="preserve">C</t>
  </si>
  <si>
    <t xml:space="preserve">copper, lower end</t>
  </si>
  <si>
    <t xml:space="preserve">Elevation rise</t>
  </si>
  <si>
    <t xml:space="preserve">ft (meter to highest fixture)</t>
  </si>
  <si>
    <t xml:space="preserve">Static pressure at start</t>
  </si>
  <si>
    <t xml:space="preserve">Friction loss per foot</t>
  </si>
  <si>
    <t xml:space="preserve">psi/ft</t>
  </si>
  <si>
    <t xml:space="preserve">Friction loss</t>
  </si>
  <si>
    <t xml:space="preserve">Friction loss as head</t>
  </si>
  <si>
    <t xml:space="preserve">ft of water</t>
  </si>
  <si>
    <t xml:space="preserve">Elevation loss</t>
  </si>
  <si>
    <t xml:space="preserve">Residual pressure</t>
  </si>
  <si>
    <t xml:space="preserve">ft/s</t>
  </si>
  <si>
    <t xml:space="preserve">Cross-check: the SI example in US units</t>
  </si>
  <si>
    <t xml:space="preserve">in</t>
  </si>
  <si>
    <t xml:space="preserve">NFPA friction loss</t>
  </si>
  <si>
    <t xml:space="preserve">NFPA result in metres</t>
  </si>
  <si>
    <t xml:space="preserve">SI result (Calculator!B14)</t>
  </si>
  <si>
    <t xml:space="preserve">Difference</t>
  </si>
  <si>
    <t xml:space="preserve">Solve Hazen-Williams for flow or diameter (SI)</t>
  </si>
  <si>
    <t xml:space="preserve">Flow a pipe can carry</t>
  </si>
  <si>
    <t xml:space="preserve">Allowable head loss</t>
  </si>
  <si>
    <t xml:space="preserve">Diameter you need</t>
  </si>
  <si>
    <t xml:space="preserve">Minimum internal diameter</t>
  </si>
  <si>
    <t xml:space="preserve">mm: round up to a real size</t>
  </si>
  <si>
    <t xml:space="preserve">Check: hf at that diameter</t>
  </si>
  <si>
    <t xml:space="preserve">m (should equal B13)</t>
  </si>
  <si>
    <t xml:space="preserve">Pipes in series: residual head at the end</t>
  </si>
  <si>
    <t xml:space="preserve">Segments (leave unused rows blank)</t>
  </si>
  <si>
    <t xml:space="preserve">Segment</t>
  </si>
  <si>
    <t xml:space="preserve">Flow (L/s)</t>
  </si>
  <si>
    <t xml:space="preserve">ID (mm)</t>
  </si>
  <si>
    <t xml:space="preserve">Length (m)</t>
  </si>
  <si>
    <t xml:space="preserve">hf (m)</t>
  </si>
  <si>
    <t xml:space="preserve">Velocity (m/s)</t>
  </si>
  <si>
    <t xml:space="preserve">Trunk main</t>
  </si>
  <si>
    <t xml:space="preserve">Distribution main</t>
  </si>
  <si>
    <t xml:space="preserve">Branch</t>
  </si>
  <si>
    <t xml:space="preserve">Head at the start</t>
  </si>
  <si>
    <t xml:space="preserve">Elevation rise to the end</t>
  </si>
  <si>
    <t xml:space="preserve">Total friction loss</t>
  </si>
  <si>
    <t xml:space="preserve">Residual head at the end</t>
  </si>
  <si>
    <t xml:space="preserve">Range</t>
  </si>
  <si>
    <t xml:space="preserve">Source</t>
  </si>
  <si>
    <t xml:space="preserve">PVC</t>
  </si>
  <si>
    <t xml:space="preserve">150</t>
  </si>
  <si>
    <t xml:space="preserve">Wikipedia; EngineerExcel</t>
  </si>
  <si>
    <t xml:space="preserve">Polyethylene (PE/HDPE)</t>
  </si>
  <si>
    <t xml:space="preserve">140</t>
  </si>
  <si>
    <t xml:space="preserve">Wikipedia</t>
  </si>
  <si>
    <t xml:space="preserve">Copper</t>
  </si>
  <si>
    <t xml:space="preserve">130-140</t>
  </si>
  <si>
    <t xml:space="preserve">Cast iron, new</t>
  </si>
  <si>
    <t xml:space="preserve">130</t>
  </si>
  <si>
    <t xml:space="preserve">Cast iron, 10 years old</t>
  </si>
  <si>
    <t xml:space="preserve">107-113</t>
  </si>
  <si>
    <t xml:space="preserve">Cast iron, 20 years old</t>
  </si>
  <si>
    <t xml:space="preserve">89-100</t>
  </si>
  <si>
    <t xml:space="preserve">Asbestos-cement</t>
  </si>
  <si>
    <t xml:space="preserve">Concrete</t>
  </si>
  <si>
    <t xml:space="preserve">100-140</t>
  </si>
  <si>
    <t xml:space="preserve">Steel</t>
  </si>
  <si>
    <t xml:space="preserve">90-120</t>
  </si>
  <si>
    <t xml:space="preserve">Galvanized iron</t>
  </si>
  <si>
    <t xml:space="preserve">120</t>
  </si>
  <si>
    <t xml:space="preserve">Use your utility's or code's design value where one applies (e.g. NFPA 13 tables for sprinklers).</t>
  </si>
  <si>
    <t xml:space="preserve">Hazen-Williams vs Darcy-Weisbach (PVC, % difference)</t>
  </si>
  <si>
    <t xml:space="preserve">Water temperature</t>
  </si>
  <si>
    <t xml:space="preserve">°C</t>
  </si>
  <si>
    <t xml:space="preserve">Kinematic viscosity</t>
  </si>
  <si>
    <t xml:space="preserve">mm²/s</t>
  </si>
  <si>
    <t xml:space="preserve">Hazen-Williams C</t>
  </si>
  <si>
    <t xml:space="preserve">Roughness ε (mm)</t>
  </si>
  <si>
    <t xml:space="preserve">ID (mm) \ velocity (m/s)</t>
  </si>
  <si>
    <t xml:space="preserve">Positive: Hazen-Williams gives more loss than Darcy-Weisbach.</t>
  </si>
  <si>
    <t xml:space="preserve">Hot-water check: 25 mm PVC at 1.5 m/s</t>
  </si>
  <si>
    <t xml:space="preserve">Temperature (°C)</t>
  </si>
  <si>
    <t xml:space="preserve">Viscosity (mm²/s)</t>
  </si>
  <si>
    <t xml:space="preserve">HW vs Darcy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</si>
</sst>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"/>
    <numFmt numFmtId="166" formatCode="0"/>
    <numFmt numFmtId="167" formatCode="#,##0"/>
    <numFmt numFmtId="168" formatCode="0.0000"/>
    <numFmt numFmtId="169" formatCode="0.000"/>
    <numFmt numFmtId="170" formatCode="0.00"/>
    <numFmt numFmtId="171" formatCode="\+0%;\-0%;0%"/>
    <numFmt numFmtId="172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217346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EAD3"/>
        </patternFill>
      </fill>
    </dxf>
    <dxf>
      <fill>
        <patternFill>
          <bgColor rgb="FFF4CCCC"/>
        </patternFill>
      </fill>
    </dxf>
  </dxfs>
  <colors>
    <indexedColors>
      <rgbColor rgb="FF000000"/>
      <rgbColor rgb="FFE8F0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1734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0" t="s">
        <v>2</v>
      </c>
      <c r="B4" s="3" t="n">
        <v>20</v>
      </c>
      <c r="C4" s="0" t="s">
        <v>3</v>
      </c>
    </row>
    <row r="5" customFormat="false" ht="15" hidden="false" customHeight="false" outlineLevel="0" collapsed="false">
      <c r="A5" s="0" t="s">
        <v>4</v>
      </c>
      <c r="B5" s="4" t="n">
        <v>150</v>
      </c>
      <c r="C5" s="0" t="s">
        <v>5</v>
      </c>
    </row>
    <row r="6" customFormat="false" ht="15" hidden="false" customHeight="false" outlineLevel="0" collapsed="false">
      <c r="A6" s="0" t="s">
        <v>6</v>
      </c>
      <c r="B6" s="5" t="n">
        <v>1200</v>
      </c>
      <c r="C6" s="0" t="s">
        <v>7</v>
      </c>
    </row>
    <row r="7" customFormat="false" ht="15" hidden="false" customHeight="false" outlineLevel="0" collapsed="false">
      <c r="A7" s="0" t="s">
        <v>8</v>
      </c>
      <c r="B7" s="6" t="s">
        <v>9</v>
      </c>
      <c r="C7" s="0" t="s">
        <v>10</v>
      </c>
    </row>
    <row r="8" customFormat="false" ht="15" hidden="false" customHeight="false" outlineLevel="0" collapsed="false">
      <c r="A8" s="0" t="s">
        <v>11</v>
      </c>
      <c r="B8" s="7" t="n">
        <f aca="false">VLOOKUP(B7,'C values'!$A$2:$B$12,2,0)</f>
        <v>140</v>
      </c>
    </row>
    <row r="9" customFormat="false" ht="15" hidden="false" customHeight="false" outlineLevel="0" collapsed="false">
      <c r="A9" s="0" t="s">
        <v>12</v>
      </c>
      <c r="B9" s="4"/>
      <c r="C9" s="0" t="s">
        <v>13</v>
      </c>
    </row>
    <row r="10" customFormat="false" ht="15" hidden="false" customHeight="false" outlineLevel="0" collapsed="false">
      <c r="A10" s="0" t="s">
        <v>14</v>
      </c>
      <c r="B10" s="7" t="n">
        <f aca="false">IF(B9="",B8,B9)</f>
        <v>140</v>
      </c>
    </row>
    <row r="11" customFormat="false" ht="15" hidden="false" customHeight="false" outlineLevel="0" collapsed="false">
      <c r="A11" s="2" t="s">
        <v>15</v>
      </c>
    </row>
    <row r="12" customFormat="false" ht="15" hidden="false" customHeight="false" outlineLevel="0" collapsed="false">
      <c r="A12" s="0" t="s">
        <v>16</v>
      </c>
      <c r="B12" s="8" t="n">
        <f aca="false">B4/1000</f>
        <v>0.02</v>
      </c>
      <c r="C12" s="0" t="s">
        <v>17</v>
      </c>
    </row>
    <row r="13" customFormat="false" ht="15" hidden="false" customHeight="false" outlineLevel="0" collapsed="false">
      <c r="A13" s="0" t="s">
        <v>18</v>
      </c>
      <c r="B13" s="9" t="n">
        <f aca="false">B5/1000</f>
        <v>0.15</v>
      </c>
      <c r="C13" s="0" t="s">
        <v>7</v>
      </c>
    </row>
    <row r="14" customFormat="false" ht="15" hidden="false" customHeight="false" outlineLevel="0" collapsed="false">
      <c r="A14" s="0" t="s">
        <v>19</v>
      </c>
      <c r="B14" s="10" t="n">
        <f aca="false">10.67*B6*B12^1.852/(B10^1.852*B13^4.8704)</f>
        <v>9.97675316031289</v>
      </c>
      <c r="C14" s="0" t="s">
        <v>20</v>
      </c>
    </row>
    <row r="15" customFormat="false" ht="15" hidden="false" customHeight="false" outlineLevel="0" collapsed="false">
      <c r="A15" s="0" t="s">
        <v>21</v>
      </c>
      <c r="B15" s="10" t="n">
        <f aca="false">B14/B6*1000</f>
        <v>8.31396096692741</v>
      </c>
      <c r="C15" s="0" t="s">
        <v>22</v>
      </c>
    </row>
    <row r="16" customFormat="false" ht="15" hidden="false" customHeight="false" outlineLevel="0" collapsed="false">
      <c r="A16" s="0" t="s">
        <v>23</v>
      </c>
      <c r="B16" s="11" t="n">
        <f aca="false">B14*9.81</f>
        <v>97.8719485026694</v>
      </c>
      <c r="C16" s="0" t="s">
        <v>24</v>
      </c>
    </row>
    <row r="17" customFormat="false" ht="15" hidden="false" customHeight="false" outlineLevel="0" collapsed="false">
      <c r="A17" s="0" t="s">
        <v>23</v>
      </c>
      <c r="B17" s="11" t="n">
        <f aca="false">B14*1.4223</f>
        <v>14.189936019913</v>
      </c>
      <c r="C17" s="0" t="s">
        <v>25</v>
      </c>
    </row>
    <row r="18" customFormat="false" ht="15" hidden="false" customHeight="false" outlineLevel="0" collapsed="false">
      <c r="A18" s="0" t="s">
        <v>26</v>
      </c>
      <c r="B18" s="10" t="n">
        <f aca="false">B12/(PI()*B13^2/4)</f>
        <v>1.13176848420903</v>
      </c>
      <c r="C18" s="0" t="s">
        <v>27</v>
      </c>
    </row>
    <row r="19" customFormat="false" ht="15" hidden="false" customHeight="false" outlineLevel="0" collapsed="false">
      <c r="A19" s="0" t="s">
        <v>28</v>
      </c>
      <c r="B19" s="0" t="str">
        <f aca="false">IF(B18&lt;0.3,"Slow: HW underestimates loss",IF(B18&gt;3,"Fast: check surge, use Darcy","OK"))</f>
        <v>OK</v>
      </c>
    </row>
    <row r="21" customFormat="false" ht="15" hidden="false" customHeight="false" outlineLevel="0" collapsed="false">
      <c r="A21" s="2" t="s">
        <v>29</v>
      </c>
    </row>
    <row r="22" customFormat="false" ht="15" hidden="false" customHeight="false" outlineLevel="0" collapsed="false">
      <c r="A22" s="0" t="s">
        <v>30</v>
      </c>
      <c r="B22" s="10" t="n">
        <f aca="false">10.67*$B$6*$B$12^1.852/(150^1.852*$B$13^4.8704)</f>
        <v>8.78005704482632</v>
      </c>
      <c r="C22" s="12" t="n">
        <f aca="false">B22/$B$14-1</f>
        <v>-0.119948453796269</v>
      </c>
    </row>
    <row r="23" customFormat="false" ht="15" hidden="false" customHeight="false" outlineLevel="0" collapsed="false">
      <c r="A23" s="0" t="s">
        <v>31</v>
      </c>
      <c r="B23" s="10" t="n">
        <f aca="false">10.67*$B$6*$B$12^1.852/(130^1.852*$B$13^4.8704)</f>
        <v>11.4444588219702</v>
      </c>
      <c r="C23" s="12" t="n">
        <f aca="false">B23/$B$14-1</f>
        <v>0.147112556367113</v>
      </c>
    </row>
    <row r="24" customFormat="false" ht="15" hidden="false" customHeight="false" outlineLevel="0" collapsed="false">
      <c r="A24" s="0" t="s">
        <v>32</v>
      </c>
      <c r="B24" s="10" t="n">
        <f aca="false">10.67*$B$6*$B$12^1.852/(110^1.852*$B$13^4.8704)</f>
        <v>15.5940562490638</v>
      </c>
      <c r="C24" s="12" t="n">
        <f aca="false">B24/$B$14-1</f>
        <v>0.563039197070281</v>
      </c>
    </row>
    <row r="25" customFormat="false" ht="15" hidden="false" customHeight="false" outlineLevel="0" collapsed="false">
      <c r="A25" s="0" t="s">
        <v>33</v>
      </c>
      <c r="B25" s="10" t="n">
        <f aca="false">10.67*$B$6*$B$12^1.852/(100^1.852*$B$13^4.8704)</f>
        <v>18.6045148470243</v>
      </c>
      <c r="C25" s="12" t="n">
        <f aca="false">B25/$B$14-1</f>
        <v>0.864786524039933</v>
      </c>
    </row>
    <row r="27" customFormat="false" ht="15" hidden="false" customHeight="false" outlineLevel="0" collapsed="false">
      <c r="A27" s="2" t="s">
        <v>34</v>
      </c>
    </row>
    <row r="28" customFormat="false" ht="15" hidden="false" customHeight="false" outlineLevel="0" collapsed="false">
      <c r="A28" s="0" t="s">
        <v>35</v>
      </c>
      <c r="B28" s="9" t="n">
        <f aca="false">10.67*B6*B12^1.852/(B10^1.852*B13^4.87)</f>
        <v>9.96918519302258</v>
      </c>
      <c r="C28" s="0" t="s">
        <v>7</v>
      </c>
    </row>
    <row r="29" customFormat="false" ht="15" hidden="false" customHeight="false" outlineLevel="0" collapsed="false">
      <c r="A29" s="0" t="s">
        <v>36</v>
      </c>
      <c r="B29" s="9" t="n">
        <f aca="false">10.667*B6*B12^1.852/(B10^1.852*B13^4.871)</f>
        <v>9.98530760469925</v>
      </c>
      <c r="C29" s="0" t="s">
        <v>7</v>
      </c>
    </row>
    <row r="30" customFormat="false" ht="15" hidden="false" customHeight="false" outlineLevel="0" collapsed="false">
      <c r="A30" s="0" t="s">
        <v>37</v>
      </c>
      <c r="B30" s="9" t="n">
        <f aca="false">B14</f>
        <v>9.97675316031289</v>
      </c>
      <c r="C30" s="0" t="s">
        <v>7</v>
      </c>
    </row>
  </sheetData>
  <dataValidations count="1">
    <dataValidation allowBlank="false" errorStyle="stop" operator="between" showDropDown="false" showErrorMessage="false" showInputMessage="false" sqref="B7" type="list">
      <formula1>'C values'!$A$2:$A$12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1" t="s">
        <v>38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0" t="s">
        <v>2</v>
      </c>
      <c r="B4" s="3" t="n">
        <v>6</v>
      </c>
      <c r="C4" s="0" t="s">
        <v>39</v>
      </c>
    </row>
    <row r="5" customFormat="false" ht="15" hidden="false" customHeight="false" outlineLevel="0" collapsed="false">
      <c r="A5" s="0" t="s">
        <v>4</v>
      </c>
      <c r="B5" s="13" t="n">
        <v>0.785</v>
      </c>
      <c r="C5" s="0" t="s">
        <v>40</v>
      </c>
    </row>
    <row r="6" customFormat="false" ht="15" hidden="false" customHeight="false" outlineLevel="0" collapsed="false">
      <c r="A6" s="0" t="s">
        <v>6</v>
      </c>
      <c r="B6" s="5" t="n">
        <v>100</v>
      </c>
      <c r="C6" s="0" t="s">
        <v>41</v>
      </c>
    </row>
    <row r="7" customFormat="false" ht="15" hidden="false" customHeight="false" outlineLevel="0" collapsed="false">
      <c r="A7" s="0" t="s">
        <v>42</v>
      </c>
      <c r="B7" s="4" t="n">
        <v>130</v>
      </c>
      <c r="C7" s="0" t="s">
        <v>43</v>
      </c>
    </row>
    <row r="8" customFormat="false" ht="15" hidden="false" customHeight="false" outlineLevel="0" collapsed="false">
      <c r="A8" s="0" t="s">
        <v>44</v>
      </c>
      <c r="B8" s="4" t="n">
        <v>15</v>
      </c>
      <c r="C8" s="0" t="s">
        <v>45</v>
      </c>
    </row>
    <row r="9" customFormat="false" ht="15" hidden="false" customHeight="false" outlineLevel="0" collapsed="false">
      <c r="A9" s="0" t="s">
        <v>46</v>
      </c>
      <c r="B9" s="4" t="n">
        <v>60</v>
      </c>
      <c r="C9" s="0" t="s">
        <v>25</v>
      </c>
    </row>
    <row r="10" customFormat="false" ht="15" hidden="false" customHeight="false" outlineLevel="0" collapsed="false">
      <c r="A10" s="2" t="s">
        <v>15</v>
      </c>
    </row>
    <row r="11" customFormat="false" ht="15" hidden="false" customHeight="false" outlineLevel="0" collapsed="false">
      <c r="A11" s="0" t="s">
        <v>47</v>
      </c>
      <c r="B11" s="8" t="n">
        <f aca="false">4.52*B4^1.85/(B7^1.85*B5^4.87)</f>
        <v>0.0496486927380151</v>
      </c>
      <c r="C11" s="0" t="s">
        <v>48</v>
      </c>
    </row>
    <row r="12" customFormat="false" ht="15" hidden="false" customHeight="false" outlineLevel="0" collapsed="false">
      <c r="A12" s="0" t="s">
        <v>49</v>
      </c>
      <c r="B12" s="11" t="n">
        <f aca="false">B11*B6</f>
        <v>4.96486927380151</v>
      </c>
      <c r="C12" s="0" t="s">
        <v>25</v>
      </c>
    </row>
    <row r="13" customFormat="false" ht="15" hidden="false" customHeight="false" outlineLevel="0" collapsed="false">
      <c r="A13" s="0" t="s">
        <v>50</v>
      </c>
      <c r="B13" s="11" t="n">
        <f aca="false">B12/0.4335</f>
        <v>11.4529856373737</v>
      </c>
      <c r="C13" s="0" t="s">
        <v>51</v>
      </c>
    </row>
    <row r="14" customFormat="false" ht="15" hidden="false" customHeight="false" outlineLevel="0" collapsed="false">
      <c r="A14" s="0" t="s">
        <v>52</v>
      </c>
      <c r="B14" s="11" t="n">
        <f aca="false">B8*0.4335</f>
        <v>6.5025</v>
      </c>
      <c r="C14" s="0" t="s">
        <v>25</v>
      </c>
    </row>
    <row r="15" customFormat="false" ht="15" hidden="false" customHeight="false" outlineLevel="0" collapsed="false">
      <c r="A15" s="0" t="s">
        <v>53</v>
      </c>
      <c r="B15" s="11" t="n">
        <f aca="false">B9-B12-B14</f>
        <v>48.5326307261985</v>
      </c>
      <c r="C15" s="0" t="s">
        <v>25</v>
      </c>
    </row>
    <row r="16" customFormat="false" ht="15" hidden="false" customHeight="false" outlineLevel="0" collapsed="false">
      <c r="A16" s="0" t="s">
        <v>26</v>
      </c>
      <c r="B16" s="10" t="n">
        <f aca="false">B4*0.002228/(PI()*(B5/12)^2/4)</f>
        <v>3.9774042560734</v>
      </c>
      <c r="C16" s="0" t="s">
        <v>54</v>
      </c>
    </row>
    <row r="17" customFormat="false" ht="15" hidden="false" customHeight="false" outlineLevel="0" collapsed="false">
      <c r="A17" s="0" t="s">
        <v>28</v>
      </c>
      <c r="B17" s="0" t="str">
        <f aca="false">IF(B16&gt;5,"Over 5 ft/s: noise and water hammer","OK")</f>
        <v>OK</v>
      </c>
    </row>
    <row r="19" customFormat="false" ht="15" hidden="false" customHeight="false" outlineLevel="0" collapsed="false">
      <c r="A19" s="2" t="s">
        <v>55</v>
      </c>
    </row>
    <row r="20" customFormat="false" ht="15" hidden="false" customHeight="false" outlineLevel="0" collapsed="false">
      <c r="A20" s="0" t="s">
        <v>2</v>
      </c>
      <c r="B20" s="11" t="n">
        <f aca="false">Calculator!B4*15.850323</f>
        <v>317.00646</v>
      </c>
      <c r="C20" s="0" t="s">
        <v>39</v>
      </c>
    </row>
    <row r="21" customFormat="false" ht="15" hidden="false" customHeight="false" outlineLevel="0" collapsed="false">
      <c r="A21" s="0" t="s">
        <v>4</v>
      </c>
      <c r="B21" s="9" t="n">
        <f aca="false">Calculator!B5/25.4</f>
        <v>5.90551181102362</v>
      </c>
      <c r="C21" s="0" t="s">
        <v>56</v>
      </c>
    </row>
    <row r="22" customFormat="false" ht="15" hidden="false" customHeight="false" outlineLevel="0" collapsed="false">
      <c r="A22" s="0" t="s">
        <v>6</v>
      </c>
      <c r="B22" s="14" t="n">
        <f aca="false">Calculator!B6*3.28084</f>
        <v>3937.008</v>
      </c>
      <c r="C22" s="0" t="s">
        <v>41</v>
      </c>
    </row>
    <row r="23" customFormat="false" ht="15" hidden="false" customHeight="false" outlineLevel="0" collapsed="false">
      <c r="A23" s="0" t="s">
        <v>57</v>
      </c>
      <c r="B23" s="10" t="n">
        <f aca="false">4.52*B20^1.85/(Calculator!B10^1.85*B21^4.87)*B22</f>
        <v>14.1553183955856</v>
      </c>
      <c r="C23" s="0" t="s">
        <v>25</v>
      </c>
    </row>
    <row r="24" customFormat="false" ht="15" hidden="false" customHeight="false" outlineLevel="0" collapsed="false">
      <c r="A24" s="0" t="s">
        <v>58</v>
      </c>
      <c r="B24" s="10" t="n">
        <f aca="false">B23/1.4223</f>
        <v>9.95241397425687</v>
      </c>
      <c r="C24" s="0" t="s">
        <v>20</v>
      </c>
    </row>
    <row r="25" customFormat="false" ht="15" hidden="false" customHeight="false" outlineLevel="0" collapsed="false">
      <c r="A25" s="0" t="s">
        <v>59</v>
      </c>
      <c r="B25" s="10" t="n">
        <f aca="false">Calculator!B14</f>
        <v>9.97675316031289</v>
      </c>
      <c r="C25" s="0" t="s">
        <v>20</v>
      </c>
    </row>
    <row r="26" customFormat="false" ht="15" hidden="false" customHeight="false" outlineLevel="0" collapsed="false">
      <c r="A26" s="0" t="s">
        <v>60</v>
      </c>
      <c r="B26" s="15" t="n">
        <f aca="false">B24/B25-1</f>
        <v>-0.00243958988108828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1" t="s">
        <v>61</v>
      </c>
    </row>
    <row r="3" customFormat="false" ht="15" hidden="false" customHeight="false" outlineLevel="0" collapsed="false">
      <c r="A3" s="2" t="s">
        <v>62</v>
      </c>
    </row>
    <row r="4" customFormat="false" ht="15" hidden="false" customHeight="false" outlineLevel="0" collapsed="false">
      <c r="A4" s="0" t="s">
        <v>63</v>
      </c>
      <c r="B4" s="16" t="n">
        <v>5</v>
      </c>
      <c r="C4" s="0" t="s">
        <v>7</v>
      </c>
    </row>
    <row r="5" customFormat="false" ht="15" hidden="false" customHeight="false" outlineLevel="0" collapsed="false">
      <c r="A5" s="0" t="s">
        <v>6</v>
      </c>
      <c r="B5" s="5" t="n">
        <v>1200</v>
      </c>
      <c r="C5" s="0" t="s">
        <v>7</v>
      </c>
    </row>
    <row r="6" customFormat="false" ht="15" hidden="false" customHeight="false" outlineLevel="0" collapsed="false">
      <c r="A6" s="0" t="s">
        <v>4</v>
      </c>
      <c r="B6" s="4" t="n">
        <v>150</v>
      </c>
      <c r="C6" s="0" t="s">
        <v>5</v>
      </c>
    </row>
    <row r="7" customFormat="false" ht="15" hidden="false" customHeight="false" outlineLevel="0" collapsed="false">
      <c r="A7" s="0" t="s">
        <v>42</v>
      </c>
      <c r="B7" s="4" t="n">
        <v>140</v>
      </c>
    </row>
    <row r="8" customFormat="false" ht="15" hidden="false" customHeight="false" outlineLevel="0" collapsed="false">
      <c r="A8" s="0" t="s">
        <v>2</v>
      </c>
      <c r="B8" s="11" t="n">
        <f aca="false">(B4*B7^1.852*(B6/1000)^4.8704/(10.67*B5))^(1/1.852)*1000</f>
        <v>13.7731277296654</v>
      </c>
      <c r="C8" s="0" t="s">
        <v>3</v>
      </c>
    </row>
    <row r="9" customFormat="false" ht="15" hidden="false" customHeight="false" outlineLevel="0" collapsed="false">
      <c r="A9" s="0" t="s">
        <v>26</v>
      </c>
      <c r="B9" s="10" t="n">
        <f aca="false">B8/1000/(PI()*(B6/1000)^2/4)</f>
        <v>0.779399594671039</v>
      </c>
      <c r="C9" s="0" t="s">
        <v>27</v>
      </c>
    </row>
    <row r="11" customFormat="false" ht="15" hidden="false" customHeight="false" outlineLevel="0" collapsed="false">
      <c r="A11" s="2" t="s">
        <v>64</v>
      </c>
    </row>
    <row r="12" customFormat="false" ht="15" hidden="false" customHeight="false" outlineLevel="0" collapsed="false">
      <c r="A12" s="0" t="s">
        <v>2</v>
      </c>
      <c r="B12" s="3" t="n">
        <v>20</v>
      </c>
      <c r="C12" s="0" t="s">
        <v>3</v>
      </c>
    </row>
    <row r="13" customFormat="false" ht="15" hidden="false" customHeight="false" outlineLevel="0" collapsed="false">
      <c r="A13" s="0" t="s">
        <v>63</v>
      </c>
      <c r="B13" s="16" t="n">
        <v>5</v>
      </c>
      <c r="C13" s="0" t="s">
        <v>7</v>
      </c>
    </row>
    <row r="14" customFormat="false" ht="15" hidden="false" customHeight="false" outlineLevel="0" collapsed="false">
      <c r="A14" s="0" t="s">
        <v>6</v>
      </c>
      <c r="B14" s="5" t="n">
        <v>1200</v>
      </c>
      <c r="C14" s="0" t="s">
        <v>7</v>
      </c>
    </row>
    <row r="15" customFormat="false" ht="15" hidden="false" customHeight="false" outlineLevel="0" collapsed="false">
      <c r="A15" s="0" t="s">
        <v>42</v>
      </c>
      <c r="B15" s="4" t="n">
        <v>140</v>
      </c>
    </row>
    <row r="16" customFormat="false" ht="15" hidden="false" customHeight="false" outlineLevel="0" collapsed="false">
      <c r="A16" s="0" t="s">
        <v>65</v>
      </c>
      <c r="B16" s="11" t="n">
        <f aca="false">(10.67*B14*(B12/1000)^1.852/(B15^1.852*B13))^(1/4.8704)*1000</f>
        <v>172.858917663458</v>
      </c>
      <c r="C16" s="0" t="s">
        <v>66</v>
      </c>
    </row>
    <row r="17" customFormat="false" ht="15" hidden="false" customHeight="false" outlineLevel="0" collapsed="false">
      <c r="A17" s="0" t="s">
        <v>67</v>
      </c>
      <c r="B17" s="10" t="n">
        <f aca="false">10.67*B14*(B12/1000)^1.852/(B15^1.852*(B16/1000)^4.8704)</f>
        <v>5</v>
      </c>
      <c r="C17" s="0" t="s">
        <v>68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11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69</v>
      </c>
    </row>
    <row r="3" customFormat="false" ht="15" hidden="false" customHeight="false" outlineLevel="0" collapsed="false">
      <c r="A3" s="2" t="s">
        <v>70</v>
      </c>
    </row>
    <row r="4" customFormat="false" ht="15" hidden="false" customHeight="false" outlineLevel="0" collapsed="false">
      <c r="A4" s="17" t="s">
        <v>71</v>
      </c>
      <c r="B4" s="17" t="s">
        <v>72</v>
      </c>
      <c r="C4" s="17" t="s">
        <v>73</v>
      </c>
      <c r="D4" s="17" t="s">
        <v>74</v>
      </c>
      <c r="E4" s="17" t="s">
        <v>42</v>
      </c>
      <c r="F4" s="17" t="s">
        <v>75</v>
      </c>
      <c r="G4" s="17" t="s">
        <v>76</v>
      </c>
    </row>
    <row r="5" customFormat="false" ht="15" hidden="false" customHeight="false" outlineLevel="0" collapsed="false">
      <c r="A5" s="6" t="s">
        <v>77</v>
      </c>
      <c r="B5" s="6" t="n">
        <v>30</v>
      </c>
      <c r="C5" s="6" t="n">
        <v>200</v>
      </c>
      <c r="D5" s="6" t="n">
        <v>800</v>
      </c>
      <c r="E5" s="6" t="n">
        <v>140</v>
      </c>
      <c r="F5" s="10" t="n">
        <f aca="false">IF(B5="","",10.67*D5*(B5/1000)^1.852/(E5^1.852*(C5/1000)^4.8704))</f>
        <v>3.47150149962029</v>
      </c>
      <c r="G5" s="10" t="n">
        <f aca="false">IF(B5="","",B5/1000/(PI()*(C5/1000)^2/4))</f>
        <v>0.954929658551372</v>
      </c>
    </row>
    <row r="6" customFormat="false" ht="15" hidden="false" customHeight="false" outlineLevel="0" collapsed="false">
      <c r="A6" s="6" t="s">
        <v>78</v>
      </c>
      <c r="B6" s="6" t="n">
        <v>20</v>
      </c>
      <c r="C6" s="6" t="n">
        <v>150</v>
      </c>
      <c r="D6" s="6" t="n">
        <v>600</v>
      </c>
      <c r="E6" s="6" t="n">
        <v>140</v>
      </c>
      <c r="F6" s="10" t="n">
        <f aca="false">IF(B6="","",10.67*D6*(B6/1000)^1.852/(E6^1.852*(C6/1000)^4.8704))</f>
        <v>4.98837658015644</v>
      </c>
      <c r="G6" s="10" t="n">
        <f aca="false">IF(B6="","",B6/1000/(PI()*(C6/1000)^2/4))</f>
        <v>1.13176848420903</v>
      </c>
    </row>
    <row r="7" customFormat="false" ht="15" hidden="false" customHeight="false" outlineLevel="0" collapsed="false">
      <c r="A7" s="6" t="s">
        <v>79</v>
      </c>
      <c r="B7" s="6" t="n">
        <v>8</v>
      </c>
      <c r="C7" s="6" t="n">
        <v>100</v>
      </c>
      <c r="D7" s="6" t="n">
        <v>400</v>
      </c>
      <c r="E7" s="6" t="n">
        <v>140</v>
      </c>
      <c r="F7" s="10" t="n">
        <f aca="false">IF(B7="","",10.67*D7*(B7/1000)^1.852/(E7^1.852*(C7/1000)^4.8704))</f>
        <v>4.39054006510063</v>
      </c>
      <c r="G7" s="10" t="n">
        <f aca="false">IF(B7="","",B7/1000/(PI()*(C7/1000)^2/4))</f>
        <v>1.01859163578813</v>
      </c>
    </row>
    <row r="8" customFormat="false" ht="15" hidden="false" customHeight="false" outlineLevel="0" collapsed="false">
      <c r="A8" s="6"/>
      <c r="B8" s="6"/>
      <c r="C8" s="6"/>
      <c r="D8" s="6"/>
      <c r="E8" s="6"/>
      <c r="F8" s="10" t="str">
        <f aca="false">IF(B8="","",10.67*D8*(B8/1000)^1.852/(E8^1.852*(C8/1000)^4.8704))</f>
        <v/>
      </c>
      <c r="G8" s="10" t="str">
        <f aca="false">IF(B8="","",B8/1000/(PI()*(C8/1000)^2/4))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10" t="str">
        <f aca="false">IF(B9="","",10.67*D9*(B9/1000)^1.852/(E9^1.852*(C9/1000)^4.8704))</f>
        <v/>
      </c>
      <c r="G9" s="10" t="str">
        <f aca="false">IF(B9="","",B9/1000/(PI()*(C9/1000)^2/4))</f>
        <v/>
      </c>
    </row>
    <row r="11" customFormat="false" ht="15" hidden="false" customHeight="false" outlineLevel="0" collapsed="false">
      <c r="A11" s="0" t="s">
        <v>80</v>
      </c>
      <c r="B11" s="3" t="n">
        <v>45</v>
      </c>
      <c r="C11" s="0" t="s">
        <v>7</v>
      </c>
    </row>
    <row r="12" customFormat="false" ht="15" hidden="false" customHeight="false" outlineLevel="0" collapsed="false">
      <c r="A12" s="0" t="s">
        <v>81</v>
      </c>
      <c r="B12" s="3" t="n">
        <v>12</v>
      </c>
      <c r="C12" s="0" t="s">
        <v>7</v>
      </c>
    </row>
    <row r="13" customFormat="false" ht="15" hidden="false" customHeight="false" outlineLevel="0" collapsed="false">
      <c r="A13" s="0" t="s">
        <v>82</v>
      </c>
      <c r="B13" s="10" t="n">
        <f aca="false">SUM(F5:F9)</f>
        <v>12.8504181448774</v>
      </c>
      <c r="C13" s="0" t="s">
        <v>7</v>
      </c>
    </row>
    <row r="14" customFormat="false" ht="15" hidden="false" customHeight="false" outlineLevel="0" collapsed="false">
      <c r="A14" s="0" t="s">
        <v>83</v>
      </c>
      <c r="B14" s="10" t="n">
        <f aca="false">B11-B12-B13</f>
        <v>20.1495818551226</v>
      </c>
      <c r="C14" s="0" t="s">
        <v>7</v>
      </c>
    </row>
    <row r="15" customFormat="false" ht="15" hidden="false" customHeight="false" outlineLevel="0" collapsed="false">
      <c r="A15" s="0" t="s">
        <v>53</v>
      </c>
      <c r="B15" s="7" t="n">
        <f aca="false">B14*9.81</f>
        <v>197.667397998753</v>
      </c>
      <c r="C15" s="0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28"/>
  </cols>
  <sheetData>
    <row r="1" customFormat="false" ht="15" hidden="false" customHeight="false" outlineLevel="0" collapsed="false">
      <c r="A1" s="18" t="s">
        <v>8</v>
      </c>
      <c r="B1" s="18" t="s">
        <v>14</v>
      </c>
      <c r="C1" s="18" t="s">
        <v>84</v>
      </c>
      <c r="D1" s="18" t="s">
        <v>85</v>
      </c>
    </row>
    <row r="2" customFormat="false" ht="15" hidden="false" customHeight="false" outlineLevel="0" collapsed="false">
      <c r="A2" s="0" t="s">
        <v>86</v>
      </c>
      <c r="B2" s="0" t="n">
        <v>150</v>
      </c>
      <c r="C2" s="0" t="s">
        <v>87</v>
      </c>
      <c r="D2" s="0" t="s">
        <v>88</v>
      </c>
    </row>
    <row r="3" customFormat="false" ht="15" hidden="false" customHeight="false" outlineLevel="0" collapsed="false">
      <c r="A3" s="0" t="s">
        <v>89</v>
      </c>
      <c r="B3" s="0" t="n">
        <v>140</v>
      </c>
      <c r="C3" s="0" t="s">
        <v>90</v>
      </c>
      <c r="D3" s="0" t="s">
        <v>91</v>
      </c>
    </row>
    <row r="4" customFormat="false" ht="15" hidden="false" customHeight="false" outlineLevel="0" collapsed="false">
      <c r="A4" s="0" t="s">
        <v>92</v>
      </c>
      <c r="B4" s="0" t="n">
        <v>135</v>
      </c>
      <c r="C4" s="0" t="s">
        <v>93</v>
      </c>
      <c r="D4" s="0" t="s">
        <v>91</v>
      </c>
    </row>
    <row r="5" customFormat="false" ht="15" hidden="false" customHeight="false" outlineLevel="0" collapsed="false">
      <c r="A5" s="0" t="s">
        <v>9</v>
      </c>
      <c r="B5" s="0" t="n">
        <v>140</v>
      </c>
      <c r="C5" s="0" t="s">
        <v>90</v>
      </c>
      <c r="D5" s="0" t="s">
        <v>88</v>
      </c>
    </row>
    <row r="6" customFormat="false" ht="15" hidden="false" customHeight="false" outlineLevel="0" collapsed="false">
      <c r="A6" s="0" t="s">
        <v>94</v>
      </c>
      <c r="B6" s="0" t="n">
        <v>130</v>
      </c>
      <c r="C6" s="0" t="s">
        <v>95</v>
      </c>
      <c r="D6" s="0" t="s">
        <v>91</v>
      </c>
    </row>
    <row r="7" customFormat="false" ht="15" hidden="false" customHeight="false" outlineLevel="0" collapsed="false">
      <c r="A7" s="0" t="s">
        <v>96</v>
      </c>
      <c r="B7" s="0" t="n">
        <v>110</v>
      </c>
      <c r="C7" s="0" t="s">
        <v>97</v>
      </c>
      <c r="D7" s="0" t="s">
        <v>91</v>
      </c>
    </row>
    <row r="8" customFormat="false" ht="15" hidden="false" customHeight="false" outlineLevel="0" collapsed="false">
      <c r="A8" s="0" t="s">
        <v>98</v>
      </c>
      <c r="B8" s="0" t="n">
        <v>95</v>
      </c>
      <c r="C8" s="0" t="s">
        <v>99</v>
      </c>
      <c r="D8" s="0" t="s">
        <v>91</v>
      </c>
    </row>
    <row r="9" customFormat="false" ht="15" hidden="false" customHeight="false" outlineLevel="0" collapsed="false">
      <c r="A9" s="0" t="s">
        <v>100</v>
      </c>
      <c r="B9" s="0" t="n">
        <v>140</v>
      </c>
      <c r="C9" s="0" t="s">
        <v>90</v>
      </c>
      <c r="D9" s="0" t="s">
        <v>91</v>
      </c>
    </row>
    <row r="10" customFormat="false" ht="15" hidden="false" customHeight="false" outlineLevel="0" collapsed="false">
      <c r="A10" s="0" t="s">
        <v>101</v>
      </c>
      <c r="B10" s="0" t="n">
        <v>120</v>
      </c>
      <c r="C10" s="0" t="s">
        <v>102</v>
      </c>
      <c r="D10" s="0" t="s">
        <v>91</v>
      </c>
    </row>
    <row r="11" customFormat="false" ht="15" hidden="false" customHeight="false" outlineLevel="0" collapsed="false">
      <c r="A11" s="0" t="s">
        <v>103</v>
      </c>
      <c r="B11" s="0" t="n">
        <v>120</v>
      </c>
      <c r="C11" s="0" t="s">
        <v>104</v>
      </c>
      <c r="D11" s="0" t="s">
        <v>91</v>
      </c>
    </row>
    <row r="12" customFormat="false" ht="15" hidden="false" customHeight="false" outlineLevel="0" collapsed="false">
      <c r="A12" s="0" t="s">
        <v>105</v>
      </c>
      <c r="B12" s="0" t="n">
        <v>120</v>
      </c>
      <c r="C12" s="0" t="s">
        <v>106</v>
      </c>
      <c r="D12" s="0" t="s">
        <v>91</v>
      </c>
    </row>
    <row r="14" customFormat="false" ht="15" hidden="false" customHeight="false" outlineLevel="0" collapsed="false">
      <c r="A14" s="0" t="s">
        <v>107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1"/>
  </cols>
  <sheetData>
    <row r="1" customFormat="false" ht="17.35" hidden="false" customHeight="false" outlineLevel="0" collapsed="false">
      <c r="A1" s="1" t="s">
        <v>108</v>
      </c>
    </row>
    <row r="3" customFormat="false" ht="15" hidden="false" customHeight="false" outlineLevel="0" collapsed="false">
      <c r="A3" s="0" t="s">
        <v>109</v>
      </c>
      <c r="B3" s="4" t="n">
        <v>20</v>
      </c>
      <c r="C3" s="0" t="s">
        <v>110</v>
      </c>
    </row>
    <row r="4" customFormat="false" ht="15" hidden="false" customHeight="false" outlineLevel="0" collapsed="false">
      <c r="A4" s="0" t="s">
        <v>111</v>
      </c>
      <c r="B4" s="9" t="n">
        <f aca="false">1.792/(1+0.0337*B3+0.000221*B3^2)</f>
        <v>1.01679527916478</v>
      </c>
      <c r="C4" s="0" t="s">
        <v>112</v>
      </c>
    </row>
    <row r="5" customFormat="false" ht="15" hidden="false" customHeight="false" outlineLevel="0" collapsed="false">
      <c r="A5" s="0" t="s">
        <v>113</v>
      </c>
      <c r="B5" s="4" t="n">
        <v>150</v>
      </c>
    </row>
    <row r="6" customFormat="false" ht="15" hidden="false" customHeight="false" outlineLevel="0" collapsed="false">
      <c r="A6" s="0" t="s">
        <v>114</v>
      </c>
      <c r="B6" s="19" t="n">
        <v>0.0015</v>
      </c>
    </row>
    <row r="8" customFormat="false" ht="15" hidden="false" customHeight="false" outlineLevel="0" collapsed="false">
      <c r="A8" s="18" t="s">
        <v>115</v>
      </c>
      <c r="B8" s="18" t="n">
        <v>0.3</v>
      </c>
      <c r="C8" s="18" t="n">
        <v>1</v>
      </c>
      <c r="D8" s="18" t="n">
        <v>2</v>
      </c>
      <c r="E8" s="18" t="n">
        <v>3</v>
      </c>
    </row>
    <row r="9" customFormat="false" ht="16.4" hidden="false" customHeight="false" outlineLevel="0" collapsed="false">
      <c r="A9" s="20" t="n">
        <v>20</v>
      </c>
      <c r="B9" s="12" t="n">
        <f aca="false">(10.67*(B$8*PI()*($A9/1000)^2/4)^1.852/($B$5^1.852*($A9/1000)^4.8704))/((0.25/LOG10($B$6/1000/(3.7*($A9/1000))+5.74/(B$8*($A9/1000)/($B$4/1000000))^0.9)^2)*B$8^2/(2*9.81*($A9/1000)))-1</f>
        <v>-0.20770123358396</v>
      </c>
      <c r="C9" s="12" t="n">
        <f aca="false">(10.67*(C$8*PI()*($A9/1000)^2/4)^1.852/($B$5^1.852*($A9/1000)^4.8704))/((0.25/LOG10($B$6/1000/(3.7*($A9/1000))+5.74/(C$8*($A9/1000)/($B$4/1000000))^0.9)^2)*C$8^2/(2*9.81*($A9/1000)))-1</f>
        <v>-0.0829838799967378</v>
      </c>
      <c r="D9" s="12" t="n">
        <f aca="false">(10.67*(D$8*PI()*($A9/1000)^2/4)^1.852/($B$5^1.852*($A9/1000)^4.8704))/((0.25/LOG10($B$6/1000/(3.7*($A9/1000))+5.74/(D$8*($A9/1000)/($B$4/1000000))^0.9)^2)*D$8^2/(2*9.81*($A9/1000)))-1</f>
        <v>-0.026574178835135</v>
      </c>
      <c r="E9" s="12" t="n">
        <f aca="false">(10.67*(E$8*PI()*($A9/1000)^2/4)^1.852/($B$5^1.852*($A9/1000)^4.8704))/((0.25/LOG10($B$6/1000/(3.7*($A9/1000))+5.74/(E$8*($A9/1000)/($B$4/1000000))^0.9)^2)*E$8^2/(2*9.81*($A9/1000)))-1</f>
        <v>0.00037923074515378</v>
      </c>
    </row>
    <row r="10" customFormat="false" ht="16.4" hidden="false" customHeight="false" outlineLevel="0" collapsed="false">
      <c r="A10" s="20" t="n">
        <v>50</v>
      </c>
      <c r="B10" s="12" t="n">
        <f aca="false">(10.67*(B$8*PI()*($A10/1000)^2/4)^1.852/($B$5^1.852*($A10/1000)^4.8704))/((0.25/LOG10($B$6/1000/(3.7*($A10/1000))+5.74/(B$8*($A10/1000)/($B$4/1000000))^0.9)^2)*B$8^2/(2*9.81*($A10/1000)))-1</f>
        <v>-0.121756587489675</v>
      </c>
      <c r="C10" s="12" t="n">
        <f aca="false">(10.67*(C$8*PI()*($A10/1000)^2/4)^1.852/($B$5^1.852*($A10/1000)^4.8704))/((0.25/LOG10($B$6/1000/(3.7*($A10/1000))+5.74/(C$8*($A10/1000)/($B$4/1000000))^0.9)^2)*C$8^2/(2*9.81*($A10/1000)))-1</f>
        <v>-0.0193221834289716</v>
      </c>
      <c r="D10" s="12" t="n">
        <f aca="false">(10.67*(D$8*PI()*($A10/1000)^2/4)^1.852/($B$5^1.852*($A10/1000)^4.8704))/((0.25/LOG10($B$6/1000/(3.7*($A10/1000))+5.74/(D$8*($A10/1000)/($B$4/1000000))^0.9)^2)*D$8^2/(2*9.81*($A10/1000)))-1</f>
        <v>0.024637238729416</v>
      </c>
      <c r="E10" s="12" t="n">
        <f aca="false">(10.67*(E$8*PI()*($A10/1000)^2/4)^1.852/($B$5^1.852*($A10/1000)^4.8704))/((0.25/LOG10($B$6/1000/(3.7*($A10/1000))+5.74/(E$8*($A10/1000)/($B$4/1000000))^0.9)^2)*E$8^2/(2*9.81*($A10/1000)))-1</f>
        <v>0.0447036738488766</v>
      </c>
    </row>
    <row r="11" customFormat="false" ht="16.4" hidden="false" customHeight="false" outlineLevel="0" collapsed="false">
      <c r="A11" s="20" t="n">
        <v>100</v>
      </c>
      <c r="B11" s="12" t="n">
        <f aca="false">(10.67*(B$8*PI()*($A11/1000)^2/4)^1.852/($B$5^1.852*($A11/1000)^4.8704))/((0.25/LOG10($B$6/1000/(3.7*($A11/1000))+5.74/(B$8*($A11/1000)/($B$4/1000000))^0.9)^2)*B$8^2/(2*9.81*($A11/1000)))-1</f>
        <v>-0.0690334281880336</v>
      </c>
      <c r="C11" s="12" t="n">
        <f aca="false">(10.67*(C$8*PI()*($A11/1000)^2/4)^1.852/($B$5^1.852*($A11/1000)^4.8704))/((0.25/LOG10($B$6/1000/(3.7*($A11/1000))+5.74/(C$8*($A11/1000)/($B$4/1000000))^0.9)^2)*C$8^2/(2*9.81*($A11/1000)))-1</f>
        <v>0.0166952972963734</v>
      </c>
      <c r="D11" s="12" t="n">
        <f aca="false">(10.67*(D$8*PI()*($A11/1000)^2/4)^1.852/($B$5^1.852*($A11/1000)^4.8704))/((0.25/LOG10($B$6/1000/(3.7*($A11/1000))+5.74/(D$8*($A11/1000)/($B$4/1000000))^0.9)^2)*D$8^2/(2*9.81*($A11/1000)))-1</f>
        <v>0.0516549895487188</v>
      </c>
      <c r="E11" s="12" t="n">
        <f aca="false">(10.67*(E$8*PI()*($A11/1000)^2/4)^1.852/($B$5^1.852*($A11/1000)^4.8704))/((0.25/LOG10($B$6/1000/(3.7*($A11/1000))+5.74/(E$8*($A11/1000)/($B$4/1000000))^0.9)^2)*E$8^2/(2*9.81*($A11/1000)))-1</f>
        <v>0.066824292242722</v>
      </c>
    </row>
    <row r="12" customFormat="false" ht="16.4" hidden="false" customHeight="false" outlineLevel="0" collapsed="false">
      <c r="A12" s="20" t="n">
        <v>200</v>
      </c>
      <c r="B12" s="12" t="n">
        <f aca="false">(10.67*(B$8*PI()*($A12/1000)^2/4)^1.852/($B$5^1.852*($A12/1000)^4.8704))/((0.25/LOG10($B$6/1000/(3.7*($A12/1000))+5.74/(B$8*($A12/1000)/($B$4/1000000))^0.9)^2)*B$8^2/(2*9.81*($A12/1000)))-1</f>
        <v>-0.026754967911539</v>
      </c>
      <c r="C12" s="12" t="n">
        <f aca="false">(10.67*(C$8*PI()*($A12/1000)^2/4)^1.852/($B$5^1.852*($A12/1000)^4.8704))/((0.25/LOG10($B$6/1000/(3.7*($A12/1000))+5.74/(C$8*($A12/1000)/($B$4/1000000))^0.9)^2)*C$8^2/(2*9.81*($A12/1000)))-1</f>
        <v>0.0428363230027302</v>
      </c>
      <c r="D12" s="12" t="n">
        <f aca="false">(10.67*(D$8*PI()*($A12/1000)^2/4)^1.852/($B$5^1.852*($A12/1000)^4.8704))/((0.25/LOG10($B$6/1000/(3.7*($A12/1000))+5.74/(D$8*($A12/1000)/($B$4/1000000))^0.9)^2)*D$8^2/(2*9.81*($A12/1000)))-1</f>
        <v>0.0693152793721164</v>
      </c>
      <c r="E12" s="12" t="n">
        <f aca="false">(10.67*(E$8*PI()*($A12/1000)^2/4)^1.852/($B$5^1.852*($A12/1000)^4.8704))/((0.25/LOG10($B$6/1000/(3.7*($A12/1000))+5.74/(E$8*($A12/1000)/($B$4/1000000))^0.9)^2)*E$8^2/(2*9.81*($A12/1000)))-1</f>
        <v>0.079924530307522</v>
      </c>
    </row>
    <row r="13" customFormat="false" ht="16.4" hidden="false" customHeight="false" outlineLevel="0" collapsed="false">
      <c r="A13" s="20" t="n">
        <v>500</v>
      </c>
      <c r="B13" s="12" t="n">
        <f aca="false">(10.67*(B$8*PI()*($A13/1000)^2/4)^1.852/($B$5^1.852*($A13/1000)^4.8704))/((0.25/LOG10($B$6/1000/(3.7*($A13/1000))+5.74/(B$8*($A13/1000)/($B$4/1000000))^0.9)^2)*B$8^2/(2*9.81*($A13/1000)))-1</f>
        <v>0.0138088373095082</v>
      </c>
      <c r="C13" s="12" t="n">
        <f aca="false">(10.67*(C$8*PI()*($A13/1000)^2/4)^1.852/($B$5^1.852*($A13/1000)^4.8704))/((0.25/LOG10($B$6/1000/(3.7*($A13/1000))+5.74/(C$8*($A13/1000)/($B$4/1000000))^0.9)^2)*C$8^2/(2*9.81*($A13/1000)))-1</f>
        <v>0.0633946868644675</v>
      </c>
      <c r="D13" s="12" t="n">
        <f aca="false">(10.67*(D$8*PI()*($A13/1000)^2/4)^1.852/($B$5^1.852*($A13/1000)^4.8704))/((0.25/LOG10($B$6/1000/(3.7*($A13/1000))+5.74/(D$8*($A13/1000)/($B$4/1000000))^0.9)^2)*D$8^2/(2*9.81*($A13/1000)))-1</f>
        <v>0.0796108800248807</v>
      </c>
      <c r="E13" s="12" t="n">
        <f aca="false">(10.67*(E$8*PI()*($A13/1000)^2/4)^1.852/($B$5^1.852*($A13/1000)^4.8704))/((0.25/LOG10($B$6/1000/(3.7*($A13/1000))+5.74/(E$8*($A13/1000)/($B$4/1000000))^0.9)^2)*E$8^2/(2*9.81*($A13/1000)))-1</f>
        <v>0.084769542381564</v>
      </c>
    </row>
    <row r="14" customFormat="false" ht="15" hidden="false" customHeight="false" outlineLevel="0" collapsed="false">
      <c r="A14" s="21" t="s">
        <v>116</v>
      </c>
    </row>
    <row r="16" customFormat="false" ht="15" hidden="false" customHeight="false" outlineLevel="0" collapsed="false">
      <c r="A16" s="2" t="s">
        <v>117</v>
      </c>
    </row>
    <row r="17" customFormat="false" ht="15" hidden="false" customHeight="false" outlineLevel="0" collapsed="false">
      <c r="A17" s="0" t="s">
        <v>118</v>
      </c>
      <c r="B17" s="6" t="n">
        <v>20</v>
      </c>
      <c r="C17" s="6" t="n">
        <v>60</v>
      </c>
    </row>
    <row r="18" customFormat="false" ht="15" hidden="false" customHeight="false" outlineLevel="0" collapsed="false">
      <c r="A18" s="0" t="s">
        <v>119</v>
      </c>
      <c r="B18" s="9" t="n">
        <f aca="false">1.792/(1+0.0337*B17+0.000221*B17^2)</f>
        <v>1.01679527916478</v>
      </c>
      <c r="C18" s="9" t="n">
        <f aca="false">1.792/(1+0.0337*C17+0.000221*C17^2)</f>
        <v>0.46940486169321</v>
      </c>
    </row>
    <row r="19" customFormat="false" ht="15" hidden="false" customHeight="false" outlineLevel="0" collapsed="false">
      <c r="A19" s="0" t="s">
        <v>120</v>
      </c>
      <c r="B19" s="12" t="n">
        <f aca="false">(10.67*(1.5*PI()*(25/1000)^2/4)^1.852/($B$5^1.852*(25/1000)^4.8704))/((0.25/LOG10($B$6/1000/(3.7*(25/1000))+5.74/(1.5*(25/1000)/(B18/1000000))^0.9)^2)*1.5^2/(2*9.81*(25/1000)))-1</f>
        <v>-0.0330632654090965</v>
      </c>
      <c r="C19" s="12" t="n">
        <f aca="false">(10.67*(1.5*PI()*(25/1000)^2/4)^1.852/($B$5^1.852*(25/1000)^4.8704))/((0.25/LOG10($B$6/1000/(3.7*(25/1000))+5.74/(1.5*(25/1000)/(C18/1000000))^0.9)^2)*1.5^2/(2*9.81*(25/1000)))-1</f>
        <v>0.140515987613421</v>
      </c>
    </row>
  </sheetData>
  <conditionalFormatting sqref="B9:E13">
    <cfRule type="cellIs" priority="2" operator="between" aboveAverage="0" equalAverage="0" bottom="0" percent="0" rank="0" text="" dxfId="0">
      <formula>-0.05</formula>
      <formula>0.05</formula>
    </cfRule>
    <cfRule type="cellIs" priority="3" operator="notBetween" aboveAverage="0" equalAverage="0" bottom="0" percent="0" rank="0" text="" dxfId="1">
      <formula>-0.1</formula>
      <formula>0.1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2026-10-12T00:00:00Z</dcterms:created>
  <dc:creator>TinyTutes</dc:creator>
  <dc:description/>
  <dc:language>en-US</dc:language>
  <cp:lastModifiedBy>Unknown</cp:lastModifiedBy>
  <dcterms:modified xsi:type="dcterms:W3CDTF">2026-10-12T00:00:00Z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